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ard of Indigent Defense\Board Meetings\2023 Meetings\11-2-23 Meeting\"/>
    </mc:Choice>
  </mc:AlternateContent>
  <xr:revisionPtr revIDLastSave="0" documentId="13_ncr:1_{9E6061A4-9D1E-487D-8C0B-FD87F15D9661}" xr6:coauthVersionLast="47" xr6:coauthVersionMax="47" xr10:uidLastSave="{00000000-0000-0000-0000-000000000000}"/>
  <bookViews>
    <workbookView xWindow="28680" yWindow="-120" windowWidth="29040" windowHeight="15840" xr2:uid="{852F2300-2123-46FF-B742-A5D4F9B077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1" l="1"/>
  <c r="N24" i="1"/>
  <c r="M24" i="1"/>
  <c r="I24" i="1"/>
  <c r="G24" i="1"/>
  <c r="K23" i="1"/>
  <c r="J22" i="1"/>
  <c r="J24" i="1" s="1"/>
  <c r="H22" i="1"/>
  <c r="H24" i="1" s="1"/>
  <c r="E22" i="1"/>
  <c r="L21" i="1"/>
  <c r="K21" i="1"/>
  <c r="P21" i="1" s="1"/>
  <c r="E21" i="1"/>
  <c r="L20" i="1"/>
  <c r="K20" i="1"/>
  <c r="P20" i="1" s="1"/>
  <c r="E20" i="1"/>
  <c r="L19" i="1"/>
  <c r="K19" i="1"/>
  <c r="P19" i="1" s="1"/>
  <c r="E19" i="1"/>
  <c r="E24" i="1" s="1"/>
  <c r="K18" i="1"/>
  <c r="L17" i="1"/>
  <c r="K17" i="1"/>
  <c r="P17" i="1" s="1"/>
  <c r="J13" i="1"/>
  <c r="I13" i="1"/>
  <c r="H13" i="1"/>
  <c r="B13" i="1"/>
  <c r="N12" i="1"/>
  <c r="L12" i="1"/>
  <c r="K12" i="1"/>
  <c r="P12" i="1" s="1"/>
  <c r="E12" i="1"/>
  <c r="L11" i="1"/>
  <c r="K11" i="1"/>
  <c r="P11" i="1" s="1"/>
  <c r="E11" i="1"/>
  <c r="L10" i="1"/>
  <c r="K10" i="1"/>
  <c r="P10" i="1" s="1"/>
  <c r="E10" i="1"/>
  <c r="N9" i="1"/>
  <c r="P9" i="1" s="1"/>
  <c r="L9" i="1"/>
  <c r="K9" i="1"/>
  <c r="E9" i="1"/>
  <c r="L8" i="1"/>
  <c r="K8" i="1"/>
  <c r="P8" i="1" s="1"/>
  <c r="E8" i="1"/>
  <c r="N7" i="1"/>
  <c r="P7" i="1" s="1"/>
  <c r="L7" i="1"/>
  <c r="K7" i="1"/>
  <c r="L6" i="1"/>
  <c r="K6" i="1"/>
  <c r="P6" i="1" s="1"/>
  <c r="E6" i="1"/>
  <c r="G5" i="1"/>
  <c r="K5" i="1" s="1"/>
  <c r="N4" i="1"/>
  <c r="L4" i="1"/>
  <c r="K4" i="1"/>
  <c r="C4" i="1"/>
  <c r="E4" i="1" s="1"/>
  <c r="N3" i="1"/>
  <c r="L3" i="1"/>
  <c r="K3" i="1"/>
  <c r="E3" i="1"/>
  <c r="P24" i="1" l="1"/>
  <c r="K22" i="1"/>
  <c r="P22" i="1" s="1"/>
  <c r="N13" i="1"/>
  <c r="G13" i="1"/>
  <c r="E13" i="1"/>
  <c r="E15" i="1" s="1"/>
  <c r="P4" i="1"/>
  <c r="P3" i="1"/>
  <c r="L5" i="1"/>
  <c r="L22" i="1"/>
  <c r="P5" i="1"/>
  <c r="K13" i="1"/>
  <c r="P13" i="1"/>
  <c r="K24" i="1"/>
</calcChain>
</file>

<file path=xl/sharedStrings.xml><?xml version="1.0" encoding="utf-8"?>
<sst xmlns="http://schemas.openxmlformats.org/spreadsheetml/2006/main" count="50" uniqueCount="39">
  <si>
    <t xml:space="preserve">Counties Requesting Reimbursement for FY23 Indigent Defense Services Spending </t>
  </si>
  <si>
    <t>Approaching/Met Reimbursement Level</t>
  </si>
  <si>
    <t>Davis Counties</t>
  </si>
  <si>
    <t>Maximum Contribution FY23</t>
  </si>
  <si>
    <t>FY23 Budgeted</t>
  </si>
  <si>
    <t>Expected State Contribution</t>
  </si>
  <si>
    <t>Q1</t>
  </si>
  <si>
    <t>Q2</t>
  </si>
  <si>
    <t>Q3</t>
  </si>
  <si>
    <t>Q4</t>
  </si>
  <si>
    <t>Grand Total Spending</t>
  </si>
  <si>
    <t>Average Quarterly Expenses</t>
  </si>
  <si>
    <t>From 1499: NSPD Reimbursement</t>
  </si>
  <si>
    <t>Maximum Contribution Reimbursement FY 2023</t>
  </si>
  <si>
    <t>Maximum Contribution Reimbursement FY2024 for Q4 of FY23</t>
  </si>
  <si>
    <t>Over/(under) Max. Contribution Amount</t>
  </si>
  <si>
    <t>Churchill</t>
  </si>
  <si>
    <t>Douglas</t>
  </si>
  <si>
    <t>Esmeralda</t>
  </si>
  <si>
    <t>Eureka</t>
  </si>
  <si>
    <t>Lander</t>
  </si>
  <si>
    <t>N/A</t>
  </si>
  <si>
    <t>Lincoln</t>
  </si>
  <si>
    <t>Lyon</t>
  </si>
  <si>
    <t>Mineral</t>
  </si>
  <si>
    <t>Nye</t>
  </si>
  <si>
    <t>White Pine</t>
  </si>
  <si>
    <t>Total:</t>
  </si>
  <si>
    <t>Reduce by Appropriation from AB494, Section 80 (2021)</t>
  </si>
  <si>
    <t>Non-Davis Counties</t>
  </si>
  <si>
    <t>Carson</t>
  </si>
  <si>
    <t>Clark</t>
  </si>
  <si>
    <t>NA</t>
  </si>
  <si>
    <t>Elko</t>
  </si>
  <si>
    <t>Humboldt</t>
  </si>
  <si>
    <t>Pershing</t>
  </si>
  <si>
    <t>Storey</t>
  </si>
  <si>
    <t>Washoe</t>
  </si>
  <si>
    <t xml:space="preserve">Total Reimbursed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</si>
</sst>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0" borderId="0" xfId="1" applyFont="1" applyFill="1"/>
    <xf numFmtId="44" fontId="0" fillId="0" borderId="0" xfId="1" applyFont="1" applyAlignment="1">
      <alignment horizontal="center"/>
    </xf>
    <xf numFmtId="44" fontId="5" fillId="0" borderId="0" xfId="1" applyFont="1" applyFill="1"/>
    <xf numFmtId="44" fontId="0" fillId="0" borderId="1" xfId="1" applyFont="1" applyBorder="1"/>
    <xf numFmtId="44" fontId="0" fillId="0" borderId="0" xfId="1" applyFont="1" applyBorder="1"/>
    <xf numFmtId="44" fontId="2" fillId="0" borderId="0" xfId="1" applyFont="1"/>
    <xf numFmtId="44" fontId="0" fillId="0" borderId="0" xfId="1" applyFont="1" applyAlignment="1">
      <alignment wrapText="1"/>
    </xf>
    <xf numFmtId="44" fontId="0" fillId="0" borderId="0" xfId="1" applyFont="1" applyAlignment="1">
      <alignment horizontal="center" wrapText="1"/>
    </xf>
    <xf numFmtId="44" fontId="3" fillId="0" borderId="0" xfId="1" applyFont="1"/>
    <xf numFmtId="44" fontId="1" fillId="0" borderId="0" xfId="1" applyFont="1" applyFill="1"/>
    <xf numFmtId="44" fontId="0" fillId="0" borderId="1" xfId="1" applyFont="1" applyFill="1" applyBorder="1"/>
    <xf numFmtId="44" fontId="0" fillId="0" borderId="0" xfId="0" applyNumberFormat="1"/>
    <xf numFmtId="0" fontId="4" fillId="0" borderId="0" xfId="0" applyFont="1" applyAlignment="1">
      <alignment horizontal="center"/>
    </xf>
    <xf numFmtId="0" fontId="3" fillId="2" borderId="0" xfId="0" applyFont="1" applyFill="1"/>
    <xf numFmtId="8" fontId="3" fillId="2" borderId="0" xfId="0" applyNumberFormat="1" applyFont="1" applyFill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93B0B-1564-47B5-B3F2-A303B51A38C1}">
  <dimension ref="A1:P27"/>
  <sheetViews>
    <sheetView tabSelected="1" workbookViewId="0">
      <selection activeCell="N28" sqref="N28"/>
    </sheetView>
  </sheetViews>
  <sheetFormatPr defaultRowHeight="15" x14ac:dyDescent="0.25"/>
  <cols>
    <col min="1" max="1" width="18.7109375" bestFit="1" customWidth="1"/>
    <col min="2" max="3" width="15.28515625" bestFit="1" customWidth="1"/>
    <col min="4" max="4" width="7.42578125" bestFit="1" customWidth="1"/>
    <col min="5" max="5" width="26.42578125" bestFit="1" customWidth="1"/>
    <col min="7" max="11" width="14.28515625" bestFit="1" customWidth="1"/>
    <col min="12" max="12" width="12.5703125" bestFit="1" customWidth="1"/>
    <col min="13" max="13" width="11.5703125" bestFit="1" customWidth="1"/>
    <col min="14" max="14" width="21.5703125" bestFit="1" customWidth="1"/>
    <col min="15" max="15" width="12.5703125" bestFit="1" customWidth="1"/>
    <col min="16" max="16" width="38.85546875" bestFit="1" customWidth="1"/>
  </cols>
  <sheetData>
    <row r="1" spans="1:16" ht="23.25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P1" s="1" t="s">
        <v>1</v>
      </c>
    </row>
    <row r="2" spans="1:16" ht="90" x14ac:dyDescent="0.25">
      <c r="A2" s="2" t="s">
        <v>2</v>
      </c>
      <c r="B2" s="3" t="s">
        <v>3</v>
      </c>
      <c r="C2" s="3" t="s">
        <v>4</v>
      </c>
      <c r="E2" s="2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5" t="s">
        <v>15</v>
      </c>
    </row>
    <row r="3" spans="1:16" x14ac:dyDescent="0.25">
      <c r="A3" t="s">
        <v>16</v>
      </c>
      <c r="B3" s="1">
        <v>375705.741996</v>
      </c>
      <c r="C3" s="1">
        <v>918044</v>
      </c>
      <c r="D3" s="1"/>
      <c r="E3" s="1">
        <f>C3-B3</f>
        <v>542338.25800399994</v>
      </c>
      <c r="F3" s="1"/>
      <c r="G3" s="7">
        <v>139300.35999999999</v>
      </c>
      <c r="H3" s="1">
        <v>194835.45</v>
      </c>
      <c r="I3" s="1">
        <v>190240.64000000001</v>
      </c>
      <c r="J3" s="7">
        <v>179599.58</v>
      </c>
      <c r="K3" s="1">
        <f t="shared" ref="K3:K8" si="0">SUM(G3:J3)</f>
        <v>703976.02999999991</v>
      </c>
      <c r="L3" s="1">
        <f>AVERAGE(G3:J3)</f>
        <v>175994.00749999998</v>
      </c>
      <c r="M3" s="1"/>
      <c r="N3" s="1">
        <f>148670.71+179599.58</f>
        <v>328270.28999999998</v>
      </c>
      <c r="O3" s="1"/>
      <c r="P3" s="1">
        <f>K3-B3-N3</f>
        <v>-1.9960000645369291E-3</v>
      </c>
    </row>
    <row r="4" spans="1:16" x14ac:dyDescent="0.25">
      <c r="A4" t="s">
        <v>17</v>
      </c>
      <c r="B4" s="1">
        <v>892657.87560000003</v>
      </c>
      <c r="C4" s="1">
        <f>1624000+60000</f>
        <v>1684000</v>
      </c>
      <c r="D4" s="1"/>
      <c r="E4" s="1">
        <f>C4-B4</f>
        <v>791342.12439999997</v>
      </c>
      <c r="F4" s="1"/>
      <c r="G4" s="7">
        <v>361538.44</v>
      </c>
      <c r="H4" s="1">
        <v>363362.32</v>
      </c>
      <c r="I4" s="1">
        <v>382685.63</v>
      </c>
      <c r="J4" s="7">
        <v>363822.13</v>
      </c>
      <c r="K4" s="1">
        <f t="shared" si="0"/>
        <v>1471408.52</v>
      </c>
      <c r="L4" s="1">
        <f t="shared" ref="L4:L22" si="1">AVERAGE(G4:J4)</f>
        <v>367852.13</v>
      </c>
      <c r="M4" s="1"/>
      <c r="N4" s="1">
        <f>214928.51+363822.13</f>
        <v>578750.64</v>
      </c>
      <c r="O4" s="1"/>
      <c r="P4" s="1">
        <f t="shared" ref="P4:P12" si="2">K4-B4-N4</f>
        <v>4.3999999761581421E-3</v>
      </c>
    </row>
    <row r="5" spans="1:16" x14ac:dyDescent="0.25">
      <c r="A5" t="s">
        <v>18</v>
      </c>
      <c r="B5" s="1">
        <v>94702.243038000001</v>
      </c>
      <c r="C5" s="1">
        <v>82000</v>
      </c>
      <c r="D5" s="1"/>
      <c r="E5" s="1"/>
      <c r="F5" s="1"/>
      <c r="G5" s="7">
        <f>17499.99+4200</f>
        <v>21699.99</v>
      </c>
      <c r="H5" s="1">
        <v>25562.02</v>
      </c>
      <c r="I5" s="1">
        <v>17499.990000000002</v>
      </c>
      <c r="J5" s="7">
        <v>11666.66</v>
      </c>
      <c r="K5" s="1">
        <f t="shared" si="0"/>
        <v>76428.66</v>
      </c>
      <c r="L5" s="1">
        <f t="shared" si="1"/>
        <v>19107.165000000001</v>
      </c>
      <c r="M5" s="1"/>
      <c r="N5" s="1"/>
      <c r="O5" s="1"/>
      <c r="P5" s="1">
        <f t="shared" si="2"/>
        <v>-18273.583037999997</v>
      </c>
    </row>
    <row r="6" spans="1:16" x14ac:dyDescent="0.25">
      <c r="A6" t="s">
        <v>19</v>
      </c>
      <c r="B6" s="1">
        <v>41808</v>
      </c>
      <c r="C6" s="1">
        <v>110000</v>
      </c>
      <c r="D6" s="1"/>
      <c r="E6" s="1">
        <f>C6-B6</f>
        <v>68192</v>
      </c>
      <c r="F6" s="1"/>
      <c r="G6" s="7">
        <v>11630</v>
      </c>
      <c r="H6" s="1">
        <v>12202.5</v>
      </c>
      <c r="I6" s="1">
        <v>16709</v>
      </c>
      <c r="J6" s="7">
        <v>15653.5</v>
      </c>
      <c r="K6" s="1">
        <f t="shared" si="0"/>
        <v>56195</v>
      </c>
      <c r="L6" s="1">
        <f t="shared" si="1"/>
        <v>14048.75</v>
      </c>
      <c r="M6" s="1"/>
      <c r="N6" s="1">
        <v>14387</v>
      </c>
      <c r="O6" s="1"/>
      <c r="P6" s="1">
        <f t="shared" si="2"/>
        <v>0</v>
      </c>
    </row>
    <row r="7" spans="1:16" x14ac:dyDescent="0.25">
      <c r="A7" t="s">
        <v>20</v>
      </c>
      <c r="B7" s="1">
        <v>102569.41879999998</v>
      </c>
      <c r="C7" s="1">
        <v>217099</v>
      </c>
      <c r="D7" s="1"/>
      <c r="E7" s="8" t="s">
        <v>21</v>
      </c>
      <c r="F7" s="1"/>
      <c r="G7" s="7">
        <v>32671</v>
      </c>
      <c r="H7" s="1">
        <v>28799</v>
      </c>
      <c r="I7" s="1">
        <v>40208</v>
      </c>
      <c r="J7" s="9">
        <v>43325</v>
      </c>
      <c r="K7" s="1">
        <f>SUM(G7:J7)</f>
        <v>145003</v>
      </c>
      <c r="L7" s="1">
        <f t="shared" si="1"/>
        <v>36250.75</v>
      </c>
      <c r="M7" s="1"/>
      <c r="N7" s="1">
        <f>36083.58+2500</f>
        <v>38583.58</v>
      </c>
      <c r="O7" s="1"/>
      <c r="P7" s="1">
        <f t="shared" si="2"/>
        <v>3850.0012000000133</v>
      </c>
    </row>
    <row r="8" spans="1:16" x14ac:dyDescent="0.25">
      <c r="A8" t="s">
        <v>22</v>
      </c>
      <c r="B8" s="1">
        <v>187529.78399999999</v>
      </c>
      <c r="C8" s="1">
        <v>205000</v>
      </c>
      <c r="D8" s="1"/>
      <c r="E8" s="1">
        <f>C8-B8</f>
        <v>17470.216000000015</v>
      </c>
      <c r="F8" s="1"/>
      <c r="G8" s="7">
        <v>31187.5</v>
      </c>
      <c r="H8" s="1">
        <v>36762.5</v>
      </c>
      <c r="I8" s="1">
        <v>30740.799999999999</v>
      </c>
      <c r="J8" s="7">
        <v>72876</v>
      </c>
      <c r="K8" s="1">
        <f t="shared" si="0"/>
        <v>171566.8</v>
      </c>
      <c r="L8" s="1">
        <f t="shared" si="1"/>
        <v>42891.7</v>
      </c>
      <c r="M8" s="1"/>
      <c r="N8" s="1"/>
      <c r="O8" s="1"/>
      <c r="P8" s="1">
        <f t="shared" si="2"/>
        <v>-15962.983999999997</v>
      </c>
    </row>
    <row r="9" spans="1:16" x14ac:dyDescent="0.25">
      <c r="A9" t="s">
        <v>23</v>
      </c>
      <c r="B9" s="1">
        <v>851690.40319999994</v>
      </c>
      <c r="C9" s="1">
        <v>1667500</v>
      </c>
      <c r="D9" s="1"/>
      <c r="E9" s="1">
        <f>C9-B9</f>
        <v>815809.59680000006</v>
      </c>
      <c r="F9" s="1"/>
      <c r="G9" s="7">
        <v>392459.82</v>
      </c>
      <c r="H9" s="1">
        <v>360011.7</v>
      </c>
      <c r="I9" s="1">
        <v>330068.08</v>
      </c>
      <c r="J9" s="7">
        <v>441411.75</v>
      </c>
      <c r="K9" s="1">
        <f t="shared" ref="K9:K23" si="3">SUM(G9:J9)</f>
        <v>1523951.35</v>
      </c>
      <c r="L9" s="1">
        <f t="shared" si="1"/>
        <v>380987.83750000002</v>
      </c>
      <c r="M9" s="1"/>
      <c r="N9" s="1">
        <f>230849.2+441411.75</f>
        <v>672260.95</v>
      </c>
      <c r="O9" s="1"/>
      <c r="P9" s="1">
        <f t="shared" si="2"/>
        <v>-3.1999998027458787E-3</v>
      </c>
    </row>
    <row r="10" spans="1:16" x14ac:dyDescent="0.25">
      <c r="A10" t="s">
        <v>24</v>
      </c>
      <c r="B10" s="1">
        <v>95962.9476</v>
      </c>
      <c r="C10" s="1">
        <v>182000</v>
      </c>
      <c r="D10" s="1"/>
      <c r="E10" s="1">
        <f>C10-B10</f>
        <v>86037.0524</v>
      </c>
      <c r="F10" s="1"/>
      <c r="G10" s="7">
        <v>29274</v>
      </c>
      <c r="H10" s="1">
        <v>31032.5</v>
      </c>
      <c r="I10" s="1">
        <v>35301.57</v>
      </c>
      <c r="J10" s="7">
        <v>59971.7</v>
      </c>
      <c r="K10" s="1">
        <f t="shared" si="3"/>
        <v>155579.77000000002</v>
      </c>
      <c r="L10" s="1">
        <f t="shared" si="1"/>
        <v>38894.942500000005</v>
      </c>
      <c r="M10" s="1"/>
      <c r="N10" s="1">
        <v>59616.82</v>
      </c>
      <c r="O10" s="1"/>
      <c r="P10" s="1">
        <f t="shared" si="2"/>
        <v>2.4000000194064341E-3</v>
      </c>
    </row>
    <row r="11" spans="1:16" x14ac:dyDescent="0.25">
      <c r="A11" t="s">
        <v>25</v>
      </c>
      <c r="B11" s="1">
        <v>866049.10883399996</v>
      </c>
      <c r="C11" s="1">
        <v>955000</v>
      </c>
      <c r="D11" s="1"/>
      <c r="E11" s="1">
        <f>C11-B11</f>
        <v>88950.891166000045</v>
      </c>
      <c r="F11" s="1"/>
      <c r="G11" s="7">
        <v>258118.42</v>
      </c>
      <c r="H11" s="1">
        <v>231216.86</v>
      </c>
      <c r="I11" s="1">
        <v>314433.2</v>
      </c>
      <c r="J11" s="7">
        <v>385619.1</v>
      </c>
      <c r="K11" s="1">
        <f t="shared" si="3"/>
        <v>1189387.58</v>
      </c>
      <c r="L11" s="1">
        <f t="shared" si="1"/>
        <v>297346.89500000002</v>
      </c>
      <c r="M11" s="1"/>
      <c r="N11" s="1">
        <v>323338.46999999997</v>
      </c>
      <c r="O11" s="1"/>
      <c r="P11" s="1">
        <f t="shared" si="2"/>
        <v>1.1660001473501325E-3</v>
      </c>
    </row>
    <row r="12" spans="1:16" x14ac:dyDescent="0.25">
      <c r="A12" t="s">
        <v>26</v>
      </c>
      <c r="B12" s="1">
        <v>461448</v>
      </c>
      <c r="C12" s="1">
        <v>852290</v>
      </c>
      <c r="D12" s="1"/>
      <c r="E12" s="1">
        <f>C12-B12</f>
        <v>390842</v>
      </c>
      <c r="F12" s="1"/>
      <c r="G12" s="7">
        <v>267440.75</v>
      </c>
      <c r="H12" s="1">
        <v>17516</v>
      </c>
      <c r="I12" s="1">
        <v>252285</v>
      </c>
      <c r="J12" s="7">
        <v>95629.8</v>
      </c>
      <c r="K12" s="1">
        <f t="shared" si="3"/>
        <v>632871.55000000005</v>
      </c>
      <c r="L12" s="1">
        <f t="shared" si="1"/>
        <v>158217.88750000001</v>
      </c>
      <c r="M12" s="1"/>
      <c r="N12" s="10">
        <f>75793.75+95629.8</f>
        <v>171423.55</v>
      </c>
      <c r="O12" s="11"/>
      <c r="P12" s="1">
        <f t="shared" si="2"/>
        <v>0</v>
      </c>
    </row>
    <row r="13" spans="1:16" x14ac:dyDescent="0.25">
      <c r="B13" s="7">
        <f>SUM(B3:B12)</f>
        <v>3970123.5230680001</v>
      </c>
      <c r="C13" s="1"/>
      <c r="D13" s="1" t="s">
        <v>27</v>
      </c>
      <c r="E13" s="1">
        <f>SUM(E3:E12)</f>
        <v>2800982.1387700001</v>
      </c>
      <c r="F13" s="1"/>
      <c r="G13" s="7">
        <f>SUM(G3:G12)</f>
        <v>1545320.28</v>
      </c>
      <c r="H13" s="7">
        <f t="shared" ref="H13:K13" si="4">SUM(H3:H12)</f>
        <v>1301300.8500000001</v>
      </c>
      <c r="I13" s="7">
        <f t="shared" si="4"/>
        <v>1610171.9100000001</v>
      </c>
      <c r="J13" s="7">
        <f t="shared" si="4"/>
        <v>1669575.22</v>
      </c>
      <c r="K13" s="7">
        <f t="shared" si="4"/>
        <v>6126368.2599999998</v>
      </c>
      <c r="L13" s="1"/>
      <c r="M13" s="1"/>
      <c r="N13" s="1">
        <f>SUM(N3:N12)</f>
        <v>2186631.2999999998</v>
      </c>
      <c r="O13" s="1"/>
      <c r="P13" s="12">
        <f>SUMIF(P3:P12, "&gt;0")</f>
        <v>3850.0091660001563</v>
      </c>
    </row>
    <row r="14" spans="1:16" x14ac:dyDescent="0.25">
      <c r="B14" s="13"/>
      <c r="C14" s="14" t="s">
        <v>28</v>
      </c>
      <c r="D14" s="14"/>
      <c r="E14" s="1">
        <v>1169427</v>
      </c>
      <c r="F14" s="1"/>
      <c r="G14" s="7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B15" s="1"/>
      <c r="C15" s="1"/>
      <c r="D15" s="1" t="s">
        <v>27</v>
      </c>
      <c r="E15" s="15">
        <f>E13-E14</f>
        <v>1631555.1387700001</v>
      </c>
      <c r="F15" s="1"/>
      <c r="G15" s="7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2" t="s">
        <v>29</v>
      </c>
      <c r="B16" s="1"/>
      <c r="C16" s="1"/>
      <c r="D16" s="1"/>
      <c r="E16" s="1"/>
      <c r="F16" s="1"/>
      <c r="G16" s="7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t="s">
        <v>30</v>
      </c>
      <c r="B17" s="1">
        <v>1903176.69</v>
      </c>
      <c r="C17" s="1">
        <v>1867637</v>
      </c>
      <c r="D17" s="1"/>
      <c r="E17" s="1">
        <v>0</v>
      </c>
      <c r="F17" s="1"/>
      <c r="G17" s="7">
        <v>459915.43</v>
      </c>
      <c r="H17" s="1">
        <v>435513.87</v>
      </c>
      <c r="I17" s="1">
        <v>461753.71</v>
      </c>
      <c r="J17" s="7">
        <v>622287.18999999994</v>
      </c>
      <c r="K17" s="1">
        <f t="shared" si="3"/>
        <v>1979470.2</v>
      </c>
      <c r="L17" s="1">
        <f t="shared" si="1"/>
        <v>494867.55</v>
      </c>
      <c r="M17" s="7">
        <v>69296.38</v>
      </c>
      <c r="N17" s="1">
        <v>6997.13</v>
      </c>
      <c r="O17" s="1"/>
      <c r="P17" s="1">
        <f>K17-B17-M17-N17</f>
        <v>0</v>
      </c>
    </row>
    <row r="18" spans="1:16" x14ac:dyDescent="0.25">
      <c r="A18" t="s">
        <v>31</v>
      </c>
      <c r="B18" s="1">
        <v>48464986.272689998</v>
      </c>
      <c r="C18" s="1">
        <v>55498054</v>
      </c>
      <c r="D18" s="1"/>
      <c r="E18" s="1">
        <v>0</v>
      </c>
      <c r="F18" s="1"/>
      <c r="G18" s="7" t="s">
        <v>32</v>
      </c>
      <c r="H18" s="1" t="s">
        <v>32</v>
      </c>
      <c r="I18" s="1" t="s">
        <v>32</v>
      </c>
      <c r="J18" s="1" t="s">
        <v>32</v>
      </c>
      <c r="K18" s="1">
        <f t="shared" si="3"/>
        <v>0</v>
      </c>
      <c r="L18" s="1" t="s">
        <v>32</v>
      </c>
      <c r="M18" s="7"/>
      <c r="N18" s="1"/>
      <c r="O18" s="1"/>
      <c r="P18" s="1"/>
    </row>
    <row r="19" spans="1:16" x14ac:dyDescent="0.25">
      <c r="A19" t="s">
        <v>33</v>
      </c>
      <c r="B19" s="1">
        <v>1946334.858</v>
      </c>
      <c r="C19" s="1">
        <v>2663766</v>
      </c>
      <c r="D19" s="1"/>
      <c r="E19" s="1">
        <f>C19-B19</f>
        <v>717431.14199999999</v>
      </c>
      <c r="F19" s="1"/>
      <c r="G19" s="7">
        <v>521925.71</v>
      </c>
      <c r="H19" s="1">
        <v>556186.43999999994</v>
      </c>
      <c r="I19" s="1">
        <v>641051.63</v>
      </c>
      <c r="J19" s="1">
        <v>980737.64</v>
      </c>
      <c r="K19" s="1">
        <f t="shared" si="3"/>
        <v>2699901.42</v>
      </c>
      <c r="L19" s="1">
        <f t="shared" si="1"/>
        <v>674975.35499999998</v>
      </c>
      <c r="M19" s="7"/>
      <c r="N19" s="1">
        <v>394885.45</v>
      </c>
      <c r="O19" s="1">
        <v>358681.11</v>
      </c>
      <c r="P19" s="1">
        <f>K19-B19-M19-N19-O19</f>
        <v>1.9999999203719199E-3</v>
      </c>
    </row>
    <row r="20" spans="1:16" x14ac:dyDescent="0.25">
      <c r="A20" t="s">
        <v>34</v>
      </c>
      <c r="B20" s="1">
        <v>493318.8</v>
      </c>
      <c r="C20" s="1">
        <v>652130</v>
      </c>
      <c r="D20" s="1"/>
      <c r="E20" s="1">
        <f>C20-B20</f>
        <v>158811.20000000001</v>
      </c>
      <c r="F20" s="1"/>
      <c r="G20" s="16">
        <v>138018.26999999999</v>
      </c>
      <c r="H20" s="1">
        <v>171422.07</v>
      </c>
      <c r="I20" s="1">
        <v>163882.09</v>
      </c>
      <c r="J20" s="1">
        <v>251450.37</v>
      </c>
      <c r="K20" s="1">
        <f t="shared" si="3"/>
        <v>724772.79999999993</v>
      </c>
      <c r="L20" s="1">
        <f t="shared" si="1"/>
        <v>181193.19999999998</v>
      </c>
      <c r="M20" s="7"/>
      <c r="N20" s="1">
        <v>231454</v>
      </c>
      <c r="O20" s="1"/>
      <c r="P20" s="1">
        <f>K20-B20-M20-N20</f>
        <v>0</v>
      </c>
    </row>
    <row r="21" spans="1:16" x14ac:dyDescent="0.25">
      <c r="A21" t="s">
        <v>35</v>
      </c>
      <c r="B21" s="1">
        <v>258162.83742600001</v>
      </c>
      <c r="C21" s="1">
        <v>271422</v>
      </c>
      <c r="D21" s="1"/>
      <c r="E21" s="1">
        <f>C21-B21</f>
        <v>13259.162573999987</v>
      </c>
      <c r="F21" s="1"/>
      <c r="G21" s="7">
        <v>31540.03</v>
      </c>
      <c r="H21" s="1">
        <v>44343.27</v>
      </c>
      <c r="I21" s="1">
        <v>66183.94</v>
      </c>
      <c r="J21" s="7">
        <v>80849.05</v>
      </c>
      <c r="K21" s="1">
        <f t="shared" si="3"/>
        <v>222916.28999999998</v>
      </c>
      <c r="L21" s="1">
        <f t="shared" si="1"/>
        <v>55729.072499999995</v>
      </c>
      <c r="M21" s="7"/>
      <c r="N21" s="1"/>
      <c r="O21" s="1"/>
      <c r="P21" s="1">
        <f t="shared" ref="P21:P22" si="5">K21-B21-M21-N21</f>
        <v>-35246.547426000034</v>
      </c>
    </row>
    <row r="22" spans="1:16" x14ac:dyDescent="0.25">
      <c r="A22" t="s">
        <v>36</v>
      </c>
      <c r="B22" s="1">
        <v>93592.972277999987</v>
      </c>
      <c r="C22" s="1">
        <v>142442</v>
      </c>
      <c r="D22" s="1"/>
      <c r="E22" s="1">
        <f>C22-B22</f>
        <v>48849.027722000013</v>
      </c>
      <c r="F22" s="1"/>
      <c r="G22" s="7">
        <v>30907.25</v>
      </c>
      <c r="H22" s="1">
        <f>45580.48-144</f>
        <v>45436.480000000003</v>
      </c>
      <c r="I22" s="1">
        <v>27306.79</v>
      </c>
      <c r="J22" s="7">
        <f>4152-32</f>
        <v>4120</v>
      </c>
      <c r="K22" s="1">
        <f t="shared" si="3"/>
        <v>107770.52000000002</v>
      </c>
      <c r="L22" s="1">
        <f t="shared" si="1"/>
        <v>26942.630000000005</v>
      </c>
      <c r="M22" s="7">
        <v>5037.8900000000003</v>
      </c>
      <c r="N22" s="1">
        <v>9139.66</v>
      </c>
      <c r="O22" s="1"/>
      <c r="P22" s="1">
        <f t="shared" si="5"/>
        <v>-2.2779999671911355E-3</v>
      </c>
    </row>
    <row r="23" spans="1:16" x14ac:dyDescent="0.25">
      <c r="A23" t="s">
        <v>37</v>
      </c>
      <c r="B23" s="1">
        <v>14087545.675000001</v>
      </c>
      <c r="C23" s="1">
        <v>11497909</v>
      </c>
      <c r="D23" s="1"/>
      <c r="E23" s="1">
        <v>0</v>
      </c>
      <c r="F23" s="1"/>
      <c r="G23" s="7" t="s">
        <v>32</v>
      </c>
      <c r="H23" s="1" t="s">
        <v>32</v>
      </c>
      <c r="I23" s="1" t="s">
        <v>32</v>
      </c>
      <c r="J23" s="1" t="s">
        <v>32</v>
      </c>
      <c r="K23" s="1">
        <f t="shared" si="3"/>
        <v>0</v>
      </c>
      <c r="L23" s="1" t="s">
        <v>32</v>
      </c>
      <c r="M23" s="17"/>
      <c r="N23" s="17"/>
      <c r="O23" s="17"/>
      <c r="P23" s="1"/>
    </row>
    <row r="24" spans="1:16" x14ac:dyDescent="0.25">
      <c r="D24" t="s">
        <v>27</v>
      </c>
      <c r="E24" s="18">
        <f>SUM(E19:E23)</f>
        <v>938350.53229599993</v>
      </c>
      <c r="G24" s="18">
        <f>SUM(G17,G19:G22)</f>
        <v>1182306.69</v>
      </c>
      <c r="H24" s="18">
        <f t="shared" ref="H24:K24" si="6">SUM(H17,H19:H22)</f>
        <v>1252902.1299999999</v>
      </c>
      <c r="I24" s="18">
        <f t="shared" si="6"/>
        <v>1360178.1600000001</v>
      </c>
      <c r="J24" s="18">
        <f t="shared" si="6"/>
        <v>1939444.2500000002</v>
      </c>
      <c r="K24" s="18">
        <f t="shared" si="6"/>
        <v>5734831.2300000004</v>
      </c>
      <c r="M24" s="18">
        <f>SUM(M17:M23)</f>
        <v>74334.27</v>
      </c>
      <c r="N24" s="1">
        <f>SUM(N17:N23)</f>
        <v>642476.24000000011</v>
      </c>
      <c r="O24" s="1">
        <f>SUM(O17:O23)</f>
        <v>358681.11</v>
      </c>
      <c r="P24" s="12">
        <f>SUMIF(P14:P23, "&gt;0")</f>
        <v>1.9999999203719199E-3</v>
      </c>
    </row>
    <row r="25" spans="1:16" x14ac:dyDescent="0.25">
      <c r="M25" s="4"/>
    </row>
    <row r="26" spans="1:16" x14ac:dyDescent="0.25">
      <c r="N26" s="20" t="s">
        <v>38</v>
      </c>
    </row>
    <row r="27" spans="1:16" x14ac:dyDescent="0.25">
      <c r="N27" s="21">
        <v>3262122.92</v>
      </c>
      <c r="O27" s="18"/>
    </row>
  </sheetData>
  <mergeCells count="2">
    <mergeCell ref="C14:D14"/>
    <mergeCell ref="A1:K1"/>
  </mergeCells>
  <conditionalFormatting sqref="P3:P12 P17:P23">
    <cfRule type="cellIs" dxfId="1" priority="2" operator="greaterThan">
      <formula>-1000</formula>
    </cfRule>
  </conditionalFormatting>
  <conditionalFormatting sqref="P1">
    <cfRule type="cellIs" dxfId="0" priority="1" operator="greaterThan">
      <formula>-1000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 Ryba</dc:creator>
  <cp:lastModifiedBy>Marcie Ryba</cp:lastModifiedBy>
  <dcterms:created xsi:type="dcterms:W3CDTF">2023-10-30T19:57:17Z</dcterms:created>
  <dcterms:modified xsi:type="dcterms:W3CDTF">2023-10-30T20:05:51Z</dcterms:modified>
</cp:coreProperties>
</file>